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 two\My Documents\BEASL\Articles\LPJ New\Data on EV Transision\"/>
    </mc:Choice>
  </mc:AlternateContent>
  <bookViews>
    <workbookView xWindow="0" yWindow="0" windowWidth="20490" windowHeight="715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S47" i="1"/>
  <c r="R47" i="1"/>
  <c r="Q47" i="1"/>
  <c r="P47" i="1"/>
  <c r="O47" i="1"/>
  <c r="N47" i="1"/>
  <c r="M47" i="1"/>
  <c r="S46" i="1"/>
  <c r="R46" i="1"/>
  <c r="Q46" i="1"/>
  <c r="P46" i="1"/>
  <c r="O46" i="1"/>
  <c r="N46" i="1"/>
  <c r="M46" i="1"/>
  <c r="L46" i="1"/>
  <c r="S45" i="1"/>
  <c r="R45" i="1"/>
  <c r="Q45" i="1"/>
  <c r="P45" i="1"/>
  <c r="O45" i="1"/>
  <c r="N45" i="1"/>
  <c r="M45" i="1"/>
  <c r="L45" i="1"/>
  <c r="L43" i="1" l="1"/>
  <c r="L42" i="1"/>
  <c r="L36" i="1"/>
  <c r="L35" i="1"/>
  <c r="L34" i="1"/>
  <c r="S33" i="1"/>
  <c r="L33" i="1"/>
  <c r="S32" i="1"/>
  <c r="L32" i="1"/>
  <c r="S31" i="1"/>
  <c r="R31" i="1"/>
  <c r="L31" i="1"/>
  <c r="S27" i="1"/>
  <c r="R27" i="1"/>
  <c r="Q27" i="1"/>
  <c r="P27" i="1"/>
  <c r="O27" i="1"/>
  <c r="N27" i="1"/>
  <c r="M27" i="1"/>
  <c r="L27" i="1"/>
  <c r="S26" i="1"/>
  <c r="R26" i="1"/>
  <c r="R32" i="1" s="1"/>
  <c r="Q26" i="1"/>
  <c r="P26" i="1"/>
  <c r="O26" i="1"/>
  <c r="N26" i="1"/>
  <c r="M26" i="1"/>
  <c r="L26" i="1"/>
  <c r="U25" i="1"/>
  <c r="T25" i="1"/>
  <c r="S25" i="1"/>
  <c r="R25" i="1"/>
  <c r="Q25" i="1"/>
  <c r="P25" i="1"/>
  <c r="O25" i="1"/>
  <c r="N25" i="1"/>
  <c r="M25" i="1"/>
  <c r="L25" i="1"/>
  <c r="S18" i="1"/>
  <c r="R18" i="1"/>
  <c r="R33" i="1" s="1"/>
  <c r="Q18" i="1"/>
  <c r="Q33" i="1" s="1"/>
  <c r="P18" i="1"/>
  <c r="P33" i="1" s="1"/>
  <c r="O18" i="1"/>
  <c r="O33" i="1" s="1"/>
  <c r="N18" i="1"/>
  <c r="N33" i="1" s="1"/>
  <c r="M18" i="1"/>
  <c r="M33" i="1" s="1"/>
  <c r="L18" i="1"/>
  <c r="S17" i="1"/>
  <c r="R17" i="1"/>
  <c r="Q17" i="1"/>
  <c r="Q32" i="1" s="1"/>
  <c r="P17" i="1"/>
  <c r="P32" i="1" s="1"/>
  <c r="O17" i="1"/>
  <c r="O32" i="1" s="1"/>
  <c r="N17" i="1"/>
  <c r="N32" i="1" s="1"/>
  <c r="M17" i="1"/>
  <c r="M32" i="1" s="1"/>
  <c r="L17" i="1"/>
  <c r="S16" i="1"/>
  <c r="R16" i="1"/>
  <c r="Q16" i="1"/>
  <c r="Q31" i="1" s="1"/>
  <c r="P16" i="1"/>
  <c r="P31" i="1" s="1"/>
  <c r="O16" i="1"/>
  <c r="O31" i="1" s="1"/>
  <c r="N16" i="1"/>
  <c r="N31" i="1" s="1"/>
  <c r="M16" i="1"/>
  <c r="M42" i="1" s="1"/>
  <c r="L16" i="1"/>
  <c r="I14" i="1"/>
  <c r="S13" i="1"/>
  <c r="R13" i="1"/>
  <c r="Q13" i="1"/>
  <c r="P13" i="1"/>
  <c r="O13" i="1"/>
  <c r="N13" i="1"/>
  <c r="M13" i="1"/>
  <c r="L13" i="1"/>
  <c r="S12" i="1"/>
  <c r="R12" i="1"/>
  <c r="Q12" i="1"/>
  <c r="P12" i="1"/>
  <c r="O12" i="1"/>
  <c r="N12" i="1"/>
  <c r="M12" i="1"/>
  <c r="L12" i="1"/>
  <c r="S11" i="1"/>
  <c r="R11" i="1"/>
  <c r="Q11" i="1"/>
  <c r="P11" i="1"/>
  <c r="O11" i="1"/>
  <c r="N11" i="1"/>
  <c r="M11" i="1"/>
  <c r="L11" i="1"/>
  <c r="J33" i="1"/>
  <c r="J32" i="1"/>
  <c r="J31" i="1"/>
  <c r="M43" i="1" l="1"/>
  <c r="M44" i="1" s="1"/>
  <c r="N42" i="1"/>
  <c r="N43" i="1" s="1"/>
  <c r="N44" i="1" s="1"/>
  <c r="M31" i="1"/>
  <c r="M34" i="1" s="1"/>
  <c r="O42" i="1"/>
  <c r="M36" i="1"/>
  <c r="L44" i="1"/>
  <c r="M35" i="1" l="1"/>
  <c r="N34" i="1"/>
  <c r="P42" i="1"/>
  <c r="O43" i="1"/>
  <c r="O44" i="1" s="1"/>
  <c r="N36" i="1" l="1"/>
  <c r="N35" i="1"/>
  <c r="O34" i="1"/>
  <c r="Q42" i="1"/>
  <c r="P43" i="1"/>
  <c r="P44" i="1" s="1"/>
  <c r="O36" i="1" l="1"/>
  <c r="P34" i="1"/>
  <c r="O35" i="1"/>
  <c r="R42" i="1"/>
  <c r="Q43" i="1"/>
  <c r="Q44" i="1" s="1"/>
  <c r="Q34" i="1" l="1"/>
  <c r="P36" i="1"/>
  <c r="P35" i="1"/>
  <c r="S42" i="1"/>
  <c r="S43" i="1" s="1"/>
  <c r="S44" i="1" s="1"/>
  <c r="R43" i="1"/>
  <c r="R44" i="1" s="1"/>
  <c r="Q35" i="1" l="1"/>
  <c r="R34" i="1"/>
  <c r="Q36" i="1"/>
  <c r="R35" i="1" l="1"/>
  <c r="R36" i="1"/>
  <c r="S34" i="1"/>
  <c r="S36" i="1" l="1"/>
  <c r="S35" i="1"/>
</calcChain>
</file>

<file path=xl/sharedStrings.xml><?xml version="1.0" encoding="utf-8"?>
<sst xmlns="http://schemas.openxmlformats.org/spreadsheetml/2006/main" count="68" uniqueCount="57">
  <si>
    <t>Potential Savings from Electrification</t>
  </si>
  <si>
    <t>Cars</t>
  </si>
  <si>
    <t xml:space="preserve">3 Wheel </t>
  </si>
  <si>
    <t xml:space="preserve">2W </t>
  </si>
  <si>
    <t>New Registration</t>
  </si>
  <si>
    <t>3W</t>
  </si>
  <si>
    <t>2W</t>
  </si>
  <si>
    <t>Km /yr</t>
  </si>
  <si>
    <t>km/l</t>
  </si>
  <si>
    <t>l/yr</t>
  </si>
  <si>
    <t xml:space="preserve">Assuming new registration to remain at same level </t>
  </si>
  <si>
    <t xml:space="preserve">Rate  of Conversion </t>
  </si>
  <si>
    <t xml:space="preserve">Fuel Saving per year </t>
  </si>
  <si>
    <t xml:space="preserve">Assume conversions to comence from year 2023  </t>
  </si>
  <si>
    <t xml:space="preserve">Conversion of old fleet </t>
  </si>
  <si>
    <t>Cars  75% by 2030</t>
  </si>
  <si>
    <t>Threew Wheelers  100% by 2028</t>
  </si>
  <si>
    <t xml:space="preserve">Petrol  Saved  Million Litres </t>
  </si>
  <si>
    <t xml:space="preserve">Rate of covnersion 20% of new Registrations </t>
  </si>
  <si>
    <t>Increasing percentages of Conversion on old fleet</t>
  </si>
  <si>
    <t>All new registrations to be  EVs by 2028</t>
  </si>
  <si>
    <t>Motor Cycles  100 % by 2029</t>
  </si>
  <si>
    <t xml:space="preserve">Only Cars, Three Wheelers and Motor Cycles Considered </t>
  </si>
  <si>
    <t xml:space="preserve">Year </t>
  </si>
  <si>
    <t xml:space="preserve">Value @ Rs 130 per Ltr  US$ Million </t>
  </si>
  <si>
    <t xml:space="preserve">The Electrcity consumed  for charging </t>
  </si>
  <si>
    <t>km per kWh</t>
  </si>
  <si>
    <t>Assume 20% of new registration by 2023 and continued at accelerated rate to reach 100% by 2028</t>
  </si>
  <si>
    <t>Assume   5% of existing fleet of cars is electified in year 2023 and continued @ 10% and 20% to reach 75% by 2030</t>
  </si>
  <si>
    <t>Assume existign 3 W are covverted at faster rate of 10% and 20% to reach 100% by 2028</t>
  </si>
  <si>
    <t>Assume existing motor cycles  are converted at faster rate of 10% and 20% commencing in 2014 to reach 100% by 2029</t>
  </si>
  <si>
    <t>Rate of addtion /yr</t>
  </si>
  <si>
    <t xml:space="preserve">Current Fleet  RMV Data </t>
  </si>
  <si>
    <t xml:space="preserve">2020 Projected </t>
  </si>
  <si>
    <t>Restiction of   New registration 20% all categories to be EV by 2023</t>
  </si>
  <si>
    <t xml:space="preserve">Rate of Conversion  old fleet </t>
  </si>
  <si>
    <t>Fuel Consumed per year Data from Dr Thusitha Sugathapala</t>
  </si>
  <si>
    <t>Litres /Yr</t>
  </si>
  <si>
    <t>3 W</t>
  </si>
  <si>
    <t xml:space="preserve">motor Cycles </t>
  </si>
  <si>
    <t xml:space="preserve">Fuel saved by conversion annualy and total  accumulatred with increasing No of covnersions </t>
  </si>
  <si>
    <t xml:space="preserve">The cost of charging to be deducted.  No cost of using Solar PV </t>
  </si>
  <si>
    <t>Total saving Million L/yr</t>
  </si>
  <si>
    <t>Cumulative Saving in US$ Millions @ Rs 130/l of petrol</t>
  </si>
  <si>
    <t>Cumulative Total for All categories l/yr</t>
  </si>
  <si>
    <t xml:space="preserve">The Solar PV Charging Option </t>
  </si>
  <si>
    <t>Example - 8.0kW  Solar Roof Top system suports over 300 kWh monthy electrcity consumption and barrety charging for 2000 km travel per month  Own Experience</t>
  </si>
  <si>
    <t xml:space="preserve">Electrcity generated using solar panels </t>
  </si>
  <si>
    <t>Km travelled by cars only per year</t>
  </si>
  <si>
    <t>Electricity consumed for charging  kWh/yr</t>
  </si>
  <si>
    <t>Avoided Generation  by CEB  GWh/yr</t>
  </si>
  <si>
    <t xml:space="preserve">Capacity of Solar Instalations @ 110 units/kW/month for charging only   kW </t>
  </si>
  <si>
    <t xml:space="preserve">Add 5% more for home electrcity consumption - total capacity </t>
  </si>
  <si>
    <t>No of instalaltions @ 8.0 kW</t>
  </si>
  <si>
    <t xml:space="preserve">The One Million Roof Top Target meets this </t>
  </si>
  <si>
    <t>This can be coverted to equivalent BBL of Crude oil imports saved @ US$ 30/bbl</t>
  </si>
  <si>
    <t>Potential Savings from Electrification of Cars  3 W  and 2W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</si>
</sst>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0" fillId="0" borderId="2" xfId="0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1" fillId="0" borderId="0" xfId="0" applyFont="1"/>
    <xf numFmtId="0" fontId="3" fillId="0" borderId="0" xfId="0" applyFont="1" applyAlignment="1">
      <alignment wrapText="1"/>
    </xf>
    <xf numFmtId="0" fontId="0" fillId="2" borderId="0" xfId="0" applyFill="1" applyBorder="1"/>
    <xf numFmtId="3" fontId="0" fillId="2" borderId="0" xfId="0" applyNumberFormat="1" applyFill="1" applyBorder="1"/>
    <xf numFmtId="0" fontId="0" fillId="2" borderId="3" xfId="0" applyFill="1" applyBorder="1" applyAlignment="1">
      <alignment wrapText="1"/>
    </xf>
    <xf numFmtId="0" fontId="0" fillId="2" borderId="4" xfId="0" applyFill="1" applyBorder="1"/>
    <xf numFmtId="3" fontId="0" fillId="2" borderId="4" xfId="0" applyNumberFormat="1" applyFill="1" applyBorder="1"/>
    <xf numFmtId="3" fontId="0" fillId="2" borderId="5" xfId="0" applyNumberFormat="1" applyFill="1" applyBorder="1"/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/>
    <xf numFmtId="3" fontId="0" fillId="2" borderId="8" xfId="0" applyNumberFormat="1" applyFill="1" applyBorder="1"/>
    <xf numFmtId="3" fontId="0" fillId="3" borderId="1" xfId="0" applyNumberFormat="1" applyFill="1" applyBorder="1" applyAlignment="1">
      <alignment wrapText="1"/>
    </xf>
    <xf numFmtId="3" fontId="0" fillId="3" borderId="1" xfId="0" applyNumberFormat="1" applyFill="1" applyBorder="1"/>
    <xf numFmtId="3" fontId="0" fillId="3" borderId="2" xfId="0" applyNumberFormat="1" applyFill="1" applyBorder="1" applyAlignment="1">
      <alignment wrapText="1"/>
    </xf>
    <xf numFmtId="3" fontId="0" fillId="0" borderId="1" xfId="0" applyNumberFormat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0" fontId="0" fillId="0" borderId="4" xfId="0" applyBorder="1" applyAlignment="1"/>
    <xf numFmtId="164" fontId="0" fillId="4" borderId="1" xfId="0" applyNumberFormat="1" applyFill="1" applyBorder="1"/>
    <xf numFmtId="3" fontId="0" fillId="4" borderId="1" xfId="0" applyNumberFormat="1" applyFill="1" applyBorder="1"/>
    <xf numFmtId="3" fontId="0" fillId="4" borderId="0" xfId="0" applyNumberFormat="1" applyFill="1"/>
    <xf numFmtId="3" fontId="4" fillId="3" borderId="2" xfId="0" applyNumberFormat="1" applyFont="1" applyFill="1" applyBorder="1"/>
    <xf numFmtId="0" fontId="2" fillId="0" borderId="0" xfId="0" applyFont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Potential Savings in MillionLtrs and US$ Millions </a:t>
            </a:r>
            <a:r>
              <a:rPr lang="en-US" b="1" baseline="0"/>
              <a:t> 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Sheet2!$C$17</c:f>
              <c:strCache>
                <c:ptCount val="1"/>
                <c:pt idx="0">
                  <c:v>Petrol  Saved  Million Litres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Sheet2!$D$16:$K$16</c:f>
              <c:numCache>
                <c:formatCode>General</c:formatCode>
                <c:ptCount val="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numCache>
            </c:numRef>
          </c:cat>
          <c:val>
            <c:numRef>
              <c:f>Sheet2!$D$17:$K$17</c:f>
              <c:numCache>
                <c:formatCode>#,##0</c:formatCode>
                <c:ptCount val="8"/>
                <c:pt idx="0">
                  <c:v>347.93333333333334</c:v>
                </c:pt>
                <c:pt idx="1">
                  <c:v>1410.4666666666667</c:v>
                </c:pt>
                <c:pt idx="2">
                  <c:v>3441.4666666666672</c:v>
                </c:pt>
                <c:pt idx="3">
                  <c:v>5574.2666666666673</c:v>
                </c:pt>
                <c:pt idx="4">
                  <c:v>7782.666666666667</c:v>
                </c:pt>
                <c:pt idx="5">
                  <c:v>10092.866666666669</c:v>
                </c:pt>
                <c:pt idx="6">
                  <c:v>11149.500000000002</c:v>
                </c:pt>
                <c:pt idx="7">
                  <c:v>11527.566666666668</c:v>
                </c:pt>
              </c:numCache>
            </c:numRef>
          </c:val>
        </c:ser>
        <c:ser>
          <c:idx val="2"/>
          <c:order val="2"/>
          <c:tx>
            <c:strRef>
              <c:f>Sheet2!$C$18</c:f>
              <c:strCache>
                <c:ptCount val="1"/>
                <c:pt idx="0">
                  <c:v>Value @ Rs 130 per Ltr  US$ Million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Sheet2!$D$16:$K$16</c:f>
              <c:numCache>
                <c:formatCode>General</c:formatCode>
                <c:ptCount val="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numCache>
            </c:numRef>
          </c:cat>
          <c:val>
            <c:numRef>
              <c:f>Sheet2!$D$18:$K$18</c:f>
              <c:numCache>
                <c:formatCode>#,##0</c:formatCode>
                <c:ptCount val="8"/>
                <c:pt idx="0">
                  <c:v>238.059649122807</c:v>
                </c:pt>
                <c:pt idx="1">
                  <c:v>965.05614035087729</c:v>
                </c:pt>
                <c:pt idx="2">
                  <c:v>2354.6877192982456</c:v>
                </c:pt>
                <c:pt idx="3">
                  <c:v>3813.9719298245618</c:v>
                </c:pt>
                <c:pt idx="4">
                  <c:v>5324.9824561403511</c:v>
                </c:pt>
                <c:pt idx="5">
                  <c:v>6905.6456140350883</c:v>
                </c:pt>
                <c:pt idx="6">
                  <c:v>7628.6052631578959</c:v>
                </c:pt>
                <c:pt idx="7">
                  <c:v>7887.2824561403513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6269888"/>
        <c:axId val="3862647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Sheet2!$C$16</c15:sqref>
                        </c15:formulaRef>
                      </c:ext>
                    </c:extLst>
                    <c:strCache>
                      <c:ptCount val="1"/>
                      <c:pt idx="0">
                        <c:v>Year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Sheet2!$D$16:$K$16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Sheet2!$D$16:$K$16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8626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264792"/>
        <c:crosses val="autoZero"/>
        <c:auto val="1"/>
        <c:lblAlgn val="ctr"/>
        <c:lblOffset val="100"/>
        <c:noMultiLvlLbl val="0"/>
      </c:catAx>
      <c:valAx>
        <c:axId val="38626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26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114300</xdr:rowOff>
    </xdr:from>
    <xdr:to>
      <xdr:col>11</xdr:col>
      <xdr:colOff>190500</xdr:colOff>
      <xdr:row>14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U48"/>
  <sheetViews>
    <sheetView tabSelected="1" topLeftCell="A4" workbookViewId="0">
      <selection activeCell="H7" sqref="H7"/>
    </sheetView>
  </sheetViews>
  <sheetFormatPr defaultRowHeight="15" x14ac:dyDescent="0.25"/>
  <cols>
    <col min="5" max="5" width="40.42578125" style="6" customWidth="1"/>
    <col min="7" max="7" width="9.140625" style="1"/>
    <col min="8" max="8" width="11.28515625" style="1" customWidth="1"/>
    <col min="9" max="9" width="11" style="1" customWidth="1"/>
    <col min="10" max="10" width="9.140625" style="1"/>
    <col min="11" max="11" width="14.28515625" style="13" customWidth="1"/>
    <col min="12" max="12" width="15.5703125" customWidth="1"/>
    <col min="13" max="13" width="13" customWidth="1"/>
    <col min="14" max="14" width="12.5703125" customWidth="1"/>
    <col min="15" max="15" width="12.85546875" customWidth="1"/>
    <col min="16" max="16" width="16" customWidth="1"/>
    <col min="17" max="17" width="15.5703125" customWidth="1"/>
    <col min="18" max="18" width="14.7109375" customWidth="1"/>
    <col min="19" max="19" width="14.5703125" customWidth="1"/>
  </cols>
  <sheetData>
    <row r="4" spans="5:19" ht="15.75" x14ac:dyDescent="0.3">
      <c r="E4" s="36" t="s">
        <v>56</v>
      </c>
      <c r="F4" s="37"/>
      <c r="G4" s="37"/>
      <c r="H4" s="37"/>
      <c r="I4" s="37"/>
      <c r="J4" s="37"/>
    </row>
    <row r="5" spans="5:19" x14ac:dyDescent="0.25">
      <c r="I5" s="1" t="s">
        <v>4</v>
      </c>
      <c r="L5">
        <v>2023</v>
      </c>
      <c r="M5">
        <v>2024</v>
      </c>
      <c r="N5">
        <v>2025</v>
      </c>
      <c r="O5">
        <v>2026</v>
      </c>
      <c r="P5">
        <v>2027</v>
      </c>
      <c r="Q5">
        <v>2028</v>
      </c>
      <c r="R5">
        <v>2029</v>
      </c>
      <c r="S5">
        <v>2030</v>
      </c>
    </row>
    <row r="6" spans="5:19" ht="45" x14ac:dyDescent="0.25">
      <c r="E6" s="6" t="s">
        <v>27</v>
      </c>
    </row>
    <row r="7" spans="5:19" ht="45" x14ac:dyDescent="0.25">
      <c r="E7" s="6" t="s">
        <v>28</v>
      </c>
    </row>
    <row r="8" spans="5:19" ht="30" x14ac:dyDescent="0.25">
      <c r="E8" s="6" t="s">
        <v>29</v>
      </c>
    </row>
    <row r="9" spans="5:19" ht="45" x14ac:dyDescent="0.25">
      <c r="E9" s="6" t="s">
        <v>30</v>
      </c>
    </row>
    <row r="10" spans="5:19" ht="30" x14ac:dyDescent="0.25">
      <c r="E10" s="12" t="s">
        <v>32</v>
      </c>
      <c r="G10" s="1">
        <v>2016</v>
      </c>
      <c r="H10" s="13" t="s">
        <v>33</v>
      </c>
      <c r="I10" s="13" t="s">
        <v>31</v>
      </c>
      <c r="L10" s="14">
        <v>2023</v>
      </c>
      <c r="M10" s="14">
        <v>2024</v>
      </c>
      <c r="N10" s="14">
        <v>2025</v>
      </c>
      <c r="O10" s="14">
        <v>2026</v>
      </c>
      <c r="P10" s="14">
        <v>2027</v>
      </c>
      <c r="Q10" s="14">
        <v>2028</v>
      </c>
      <c r="R10" s="14">
        <v>2029</v>
      </c>
      <c r="S10" s="14">
        <v>2030</v>
      </c>
    </row>
    <row r="11" spans="5:19" x14ac:dyDescent="0.25">
      <c r="E11" s="6" t="s">
        <v>1</v>
      </c>
      <c r="G11" s="1">
        <v>675982</v>
      </c>
      <c r="H11" s="1">
        <v>700000</v>
      </c>
      <c r="I11" s="1">
        <v>3600</v>
      </c>
      <c r="L11" s="1">
        <f>+$H$11+$I$11*3</f>
        <v>710800</v>
      </c>
      <c r="M11" s="1">
        <f>+$H$11+$I$11*4</f>
        <v>714400</v>
      </c>
      <c r="N11" s="1">
        <f>+$H$11+$I$11*5</f>
        <v>718000</v>
      </c>
      <c r="O11" s="1">
        <f>+$H$11+$I$11*6</f>
        <v>721600</v>
      </c>
      <c r="P11" s="1">
        <f>+$H$11+$I$11*6</f>
        <v>721600</v>
      </c>
      <c r="Q11" s="1">
        <f>+$H$11+$I$11*7</f>
        <v>725200</v>
      </c>
      <c r="R11" s="1">
        <f>+$H$11+$I$11*8</f>
        <v>728800</v>
      </c>
      <c r="S11" s="1">
        <f>+$H$11+$I$11*9</f>
        <v>732400</v>
      </c>
    </row>
    <row r="12" spans="5:19" x14ac:dyDescent="0.25">
      <c r="E12" s="6" t="s">
        <v>2</v>
      </c>
      <c r="G12" s="1">
        <v>1062447</v>
      </c>
      <c r="H12" s="1">
        <v>1200000</v>
      </c>
      <c r="I12" s="1">
        <v>75000</v>
      </c>
      <c r="L12" s="1">
        <f>+$H$12+$I$12*3</f>
        <v>1425000</v>
      </c>
      <c r="M12" s="1">
        <f>+$H$12+$I$12*4</f>
        <v>1500000</v>
      </c>
      <c r="N12" s="1">
        <f>+$H$12+$I$12*5</f>
        <v>1575000</v>
      </c>
      <c r="O12" s="1">
        <f>+$H$12+$I$12*6</f>
        <v>1650000</v>
      </c>
      <c r="P12" s="1">
        <f>+$H$12+$I$12*7</f>
        <v>1725000</v>
      </c>
      <c r="Q12" s="1">
        <f>+$H$12+$I$12*8</f>
        <v>1800000</v>
      </c>
      <c r="R12" s="1">
        <f>+$H$12+$I$12*9</f>
        <v>1875000</v>
      </c>
      <c r="S12" s="1">
        <f>+$H$12+$I$12*10</f>
        <v>1950000</v>
      </c>
    </row>
    <row r="13" spans="5:19" x14ac:dyDescent="0.25">
      <c r="E13" s="6" t="s">
        <v>3</v>
      </c>
      <c r="G13" s="1">
        <v>3381726</v>
      </c>
      <c r="H13" s="1">
        <v>3400000</v>
      </c>
      <c r="I13" s="1">
        <v>75000</v>
      </c>
      <c r="L13" s="1">
        <f>+$H$13+$I$13*3</f>
        <v>3625000</v>
      </c>
      <c r="M13" s="1">
        <f>+$H$13+$I$13*4</f>
        <v>3700000</v>
      </c>
      <c r="N13" s="1">
        <f>+$H$13+$I$13*5</f>
        <v>3775000</v>
      </c>
      <c r="O13" s="1">
        <f>+$H$13+$I$13*6</f>
        <v>3850000</v>
      </c>
      <c r="P13" s="1">
        <f>+$H$13+$I$13*7</f>
        <v>3925000</v>
      </c>
      <c r="Q13" s="1">
        <f>+$H$13+$I$13*8</f>
        <v>4000000</v>
      </c>
      <c r="R13" s="1">
        <f>+$H$13+$I$13*9</f>
        <v>4075000</v>
      </c>
      <c r="S13" s="1">
        <f>+$H$13+$I$13*10</f>
        <v>4150000</v>
      </c>
    </row>
    <row r="14" spans="5:19" x14ac:dyDescent="0.25">
      <c r="I14" s="1">
        <f>SUM(I11:I13)</f>
        <v>153600</v>
      </c>
    </row>
    <row r="15" spans="5:19" ht="30" x14ac:dyDescent="0.25">
      <c r="E15" s="6" t="s">
        <v>34</v>
      </c>
      <c r="L15" s="2">
        <v>0.2</v>
      </c>
      <c r="M15" s="2">
        <v>0.3</v>
      </c>
      <c r="N15" s="2">
        <v>0.5</v>
      </c>
      <c r="O15" s="2">
        <v>0.7</v>
      </c>
      <c r="P15" s="2">
        <v>0.8</v>
      </c>
      <c r="Q15" s="2">
        <v>1</v>
      </c>
      <c r="R15" s="2">
        <v>1</v>
      </c>
      <c r="S15" s="2">
        <v>1</v>
      </c>
    </row>
    <row r="16" spans="5:19" x14ac:dyDescent="0.25">
      <c r="E16" s="6" t="s">
        <v>1</v>
      </c>
      <c r="F16" t="s">
        <v>10</v>
      </c>
      <c r="L16" s="1">
        <f>+$I$11*L$15</f>
        <v>720</v>
      </c>
      <c r="M16" s="1">
        <f t="shared" ref="M16:S16" si="0">+$I$11*M$15</f>
        <v>1080</v>
      </c>
      <c r="N16" s="1">
        <f t="shared" si="0"/>
        <v>1800</v>
      </c>
      <c r="O16" s="1">
        <f t="shared" si="0"/>
        <v>2520</v>
      </c>
      <c r="P16" s="1">
        <f t="shared" si="0"/>
        <v>2880</v>
      </c>
      <c r="Q16" s="1">
        <f t="shared" si="0"/>
        <v>3600</v>
      </c>
      <c r="R16" s="1">
        <f t="shared" si="0"/>
        <v>3600</v>
      </c>
      <c r="S16" s="1">
        <f t="shared" si="0"/>
        <v>3600</v>
      </c>
    </row>
    <row r="17" spans="5:21" x14ac:dyDescent="0.25">
      <c r="E17" s="6" t="s">
        <v>5</v>
      </c>
      <c r="L17" s="1">
        <f>+$I$12*L$15</f>
        <v>15000</v>
      </c>
      <c r="M17" s="1">
        <f t="shared" ref="M17:S17" si="1">+$I$12*M$15</f>
        <v>22500</v>
      </c>
      <c r="N17" s="1">
        <f t="shared" si="1"/>
        <v>37500</v>
      </c>
      <c r="O17" s="1">
        <f t="shared" si="1"/>
        <v>52500</v>
      </c>
      <c r="P17" s="1">
        <f t="shared" si="1"/>
        <v>60000</v>
      </c>
      <c r="Q17" s="1">
        <f t="shared" si="1"/>
        <v>75000</v>
      </c>
      <c r="R17" s="1">
        <f t="shared" si="1"/>
        <v>75000</v>
      </c>
      <c r="S17" s="1">
        <f t="shared" si="1"/>
        <v>75000</v>
      </c>
    </row>
    <row r="18" spans="5:21" x14ac:dyDescent="0.25">
      <c r="E18" s="6" t="s">
        <v>6</v>
      </c>
      <c r="L18" s="1">
        <f>+$I$13*L$15</f>
        <v>15000</v>
      </c>
      <c r="M18" s="1">
        <f t="shared" ref="M18:S18" si="2">+$I$13*M$15</f>
        <v>22500</v>
      </c>
      <c r="N18" s="1">
        <f t="shared" si="2"/>
        <v>37500</v>
      </c>
      <c r="O18" s="1">
        <f t="shared" si="2"/>
        <v>52500</v>
      </c>
      <c r="P18" s="1">
        <f t="shared" si="2"/>
        <v>60000</v>
      </c>
      <c r="Q18" s="1">
        <f t="shared" si="2"/>
        <v>75000</v>
      </c>
      <c r="R18" s="1">
        <f t="shared" si="2"/>
        <v>75000</v>
      </c>
      <c r="S18" s="1">
        <f t="shared" si="2"/>
        <v>75000</v>
      </c>
    </row>
    <row r="20" spans="5:21" x14ac:dyDescent="0.25">
      <c r="E20" s="6" t="s">
        <v>35</v>
      </c>
      <c r="H20" t="s">
        <v>11</v>
      </c>
      <c r="L20" s="14">
        <v>2023</v>
      </c>
      <c r="M20" s="14">
        <v>2024</v>
      </c>
      <c r="N20" s="14">
        <v>2025</v>
      </c>
      <c r="O20" s="14">
        <v>2026</v>
      </c>
      <c r="P20" s="14">
        <v>2027</v>
      </c>
      <c r="Q20" s="14">
        <v>2028</v>
      </c>
      <c r="R20" s="14">
        <v>2029</v>
      </c>
      <c r="S20" s="14">
        <v>2030</v>
      </c>
    </row>
    <row r="21" spans="5:21" x14ac:dyDescent="0.25">
      <c r="E21" s="6" t="s">
        <v>1</v>
      </c>
      <c r="L21" s="2">
        <v>0.05</v>
      </c>
      <c r="M21" s="2">
        <v>0.1</v>
      </c>
      <c r="N21" s="2">
        <v>0.1</v>
      </c>
      <c r="O21" s="2">
        <v>0.1</v>
      </c>
      <c r="P21" s="2">
        <v>0.1</v>
      </c>
      <c r="Q21" s="2">
        <v>0.1</v>
      </c>
      <c r="R21" s="2">
        <v>0.1</v>
      </c>
      <c r="S21" s="2">
        <v>0.1</v>
      </c>
      <c r="T21" s="2">
        <v>0.1</v>
      </c>
      <c r="U21" s="2">
        <v>0.1</v>
      </c>
    </row>
    <row r="22" spans="5:21" x14ac:dyDescent="0.25">
      <c r="E22" s="6" t="s">
        <v>5</v>
      </c>
      <c r="L22" s="2">
        <v>0.1</v>
      </c>
      <c r="M22" s="2">
        <v>0.1</v>
      </c>
      <c r="N22" s="2">
        <v>0.2</v>
      </c>
      <c r="O22" s="2">
        <v>0.2</v>
      </c>
      <c r="P22" s="2">
        <v>0.2</v>
      </c>
      <c r="Q22" s="2">
        <v>0.2</v>
      </c>
      <c r="R22" s="2">
        <v>0</v>
      </c>
      <c r="S22" s="2"/>
      <c r="T22" s="2"/>
      <c r="U22" s="2"/>
    </row>
    <row r="23" spans="5:21" x14ac:dyDescent="0.25">
      <c r="E23" s="6" t="s">
        <v>6</v>
      </c>
      <c r="L23" s="2"/>
      <c r="M23" s="2">
        <v>0.1</v>
      </c>
      <c r="N23" s="2">
        <v>0.2</v>
      </c>
      <c r="O23" s="2">
        <v>0.2</v>
      </c>
      <c r="P23" s="2">
        <v>0.2</v>
      </c>
      <c r="Q23" s="2">
        <v>0.2</v>
      </c>
      <c r="R23" s="2">
        <v>0.1</v>
      </c>
      <c r="S23" s="2"/>
      <c r="T23" s="2"/>
      <c r="U23" s="2"/>
    </row>
    <row r="25" spans="5:21" x14ac:dyDescent="0.25">
      <c r="E25" s="6" t="s">
        <v>1</v>
      </c>
      <c r="L25" s="1">
        <f>+L$11*L21</f>
        <v>35540</v>
      </c>
      <c r="M25" s="1">
        <f t="shared" ref="M25:U25" si="3">+M$11*M21</f>
        <v>71440</v>
      </c>
      <c r="N25" s="1">
        <f t="shared" si="3"/>
        <v>71800</v>
      </c>
      <c r="O25" s="1">
        <f t="shared" si="3"/>
        <v>72160</v>
      </c>
      <c r="P25" s="1">
        <f t="shared" si="3"/>
        <v>72160</v>
      </c>
      <c r="Q25" s="1">
        <f t="shared" si="3"/>
        <v>72520</v>
      </c>
      <c r="R25" s="1">
        <f t="shared" si="3"/>
        <v>72880</v>
      </c>
      <c r="S25" s="1">
        <f t="shared" si="3"/>
        <v>73240</v>
      </c>
      <c r="T25" s="1">
        <f t="shared" si="3"/>
        <v>0</v>
      </c>
      <c r="U25" s="1">
        <f t="shared" si="3"/>
        <v>0</v>
      </c>
    </row>
    <row r="26" spans="5:21" x14ac:dyDescent="0.25">
      <c r="E26" s="6" t="s">
        <v>5</v>
      </c>
      <c r="L26" s="1">
        <f>+L$12*L22</f>
        <v>142500</v>
      </c>
      <c r="M26" s="1">
        <f t="shared" ref="M26:S26" si="4">+M$12*M22</f>
        <v>150000</v>
      </c>
      <c r="N26" s="1">
        <f t="shared" si="4"/>
        <v>315000</v>
      </c>
      <c r="O26" s="1">
        <f t="shared" si="4"/>
        <v>330000</v>
      </c>
      <c r="P26" s="1">
        <f t="shared" si="4"/>
        <v>345000</v>
      </c>
      <c r="Q26" s="1">
        <f t="shared" si="4"/>
        <v>360000</v>
      </c>
      <c r="R26" s="1">
        <f t="shared" si="4"/>
        <v>0</v>
      </c>
      <c r="S26" s="1">
        <f t="shared" si="4"/>
        <v>0</v>
      </c>
      <c r="T26" s="1"/>
      <c r="U26" s="1"/>
    </row>
    <row r="27" spans="5:21" x14ac:dyDescent="0.25">
      <c r="E27" s="6" t="s">
        <v>6</v>
      </c>
      <c r="L27" s="1">
        <f>+L$13*L23</f>
        <v>0</v>
      </c>
      <c r="M27" s="1">
        <f t="shared" ref="M27:S27" si="5">+M$13*M23</f>
        <v>370000</v>
      </c>
      <c r="N27" s="1">
        <f t="shared" si="5"/>
        <v>755000</v>
      </c>
      <c r="O27" s="1">
        <f t="shared" si="5"/>
        <v>770000</v>
      </c>
      <c r="P27" s="1">
        <f t="shared" si="5"/>
        <v>785000</v>
      </c>
      <c r="Q27" s="1">
        <f t="shared" si="5"/>
        <v>800000</v>
      </c>
      <c r="R27" s="1">
        <f t="shared" si="5"/>
        <v>407500</v>
      </c>
      <c r="S27" s="1">
        <f t="shared" si="5"/>
        <v>0</v>
      </c>
      <c r="T27" s="1"/>
      <c r="U27" s="1"/>
    </row>
    <row r="29" spans="5:21" ht="18.75" x14ac:dyDescent="0.3">
      <c r="E29" s="11" t="s">
        <v>12</v>
      </c>
      <c r="L29" s="14">
        <v>2023</v>
      </c>
      <c r="M29" s="14">
        <v>2024</v>
      </c>
      <c r="N29" s="14">
        <v>2025</v>
      </c>
      <c r="O29" s="14">
        <v>2026</v>
      </c>
      <c r="P29" s="14">
        <v>2027</v>
      </c>
      <c r="Q29" s="14">
        <v>2028</v>
      </c>
      <c r="R29" s="14">
        <v>2029</v>
      </c>
      <c r="S29" s="14">
        <v>2030</v>
      </c>
    </row>
    <row r="30" spans="5:21" ht="31.5" x14ac:dyDescent="0.35">
      <c r="E30" s="18" t="s">
        <v>36</v>
      </c>
      <c r="F30" s="19"/>
      <c r="G30" s="20"/>
      <c r="H30" s="20" t="s">
        <v>7</v>
      </c>
      <c r="I30" s="20" t="s">
        <v>8</v>
      </c>
      <c r="J30" s="21" t="s">
        <v>9</v>
      </c>
      <c r="K30" s="28" t="s">
        <v>37</v>
      </c>
      <c r="L30" s="35" t="s">
        <v>40</v>
      </c>
    </row>
    <row r="31" spans="5:21" x14ac:dyDescent="0.25">
      <c r="E31" s="22" t="s">
        <v>1</v>
      </c>
      <c r="F31" s="16"/>
      <c r="G31" s="17"/>
      <c r="H31" s="17">
        <v>12500</v>
      </c>
      <c r="I31" s="17">
        <v>7.5</v>
      </c>
      <c r="J31" s="17">
        <f>+H31/I31</f>
        <v>1666.6666666666667</v>
      </c>
      <c r="K31" s="26" t="s">
        <v>1</v>
      </c>
      <c r="L31" s="27">
        <f>+(L25+L16) *$J$31</f>
        <v>60433333.333333336</v>
      </c>
      <c r="M31" s="7">
        <f t="shared" ref="M31:S31" si="6">+(M25+M16) *$J$31</f>
        <v>120866666.66666667</v>
      </c>
      <c r="N31" s="7">
        <f t="shared" si="6"/>
        <v>122666666.66666667</v>
      </c>
      <c r="O31" s="7">
        <f t="shared" si="6"/>
        <v>124466666.66666667</v>
      </c>
      <c r="P31" s="7">
        <f t="shared" si="6"/>
        <v>125066666.66666667</v>
      </c>
      <c r="Q31" s="7">
        <f t="shared" si="6"/>
        <v>126866666.66666667</v>
      </c>
      <c r="R31" s="7">
        <f t="shared" si="6"/>
        <v>127466666.66666667</v>
      </c>
      <c r="S31" s="7">
        <f t="shared" si="6"/>
        <v>128066666.66666667</v>
      </c>
    </row>
    <row r="32" spans="5:21" x14ac:dyDescent="0.25">
      <c r="E32" s="22" t="s">
        <v>5</v>
      </c>
      <c r="F32" s="16"/>
      <c r="G32" s="17"/>
      <c r="H32" s="17">
        <v>12000</v>
      </c>
      <c r="I32" s="17">
        <v>19</v>
      </c>
      <c r="J32" s="17">
        <f t="shared" ref="J32:J33" si="7">+H32/I32</f>
        <v>631.57894736842104</v>
      </c>
      <c r="K32" s="26" t="s">
        <v>38</v>
      </c>
      <c r="L32" s="27">
        <f>+(L26+L17) *$J$31</f>
        <v>262500000</v>
      </c>
      <c r="M32" s="7">
        <f t="shared" ref="M32:S32" si="8">+(M26+M17) *$J$31</f>
        <v>287500000</v>
      </c>
      <c r="N32" s="7">
        <f t="shared" si="8"/>
        <v>587500000</v>
      </c>
      <c r="O32" s="7">
        <f t="shared" si="8"/>
        <v>637500000</v>
      </c>
      <c r="P32" s="7">
        <f t="shared" si="8"/>
        <v>675000000</v>
      </c>
      <c r="Q32" s="7">
        <f t="shared" si="8"/>
        <v>725000000</v>
      </c>
      <c r="R32" s="7">
        <f t="shared" si="8"/>
        <v>125000000</v>
      </c>
      <c r="S32" s="7">
        <f t="shared" si="8"/>
        <v>125000000</v>
      </c>
    </row>
    <row r="33" spans="5:19" ht="30" x14ac:dyDescent="0.25">
      <c r="E33" s="23" t="s">
        <v>6</v>
      </c>
      <c r="F33" s="24"/>
      <c r="G33" s="25"/>
      <c r="H33" s="25">
        <v>6225</v>
      </c>
      <c r="I33" s="25">
        <v>23.5</v>
      </c>
      <c r="J33" s="25">
        <f t="shared" si="7"/>
        <v>264.89361702127661</v>
      </c>
      <c r="K33" s="26" t="s">
        <v>39</v>
      </c>
      <c r="L33" s="27">
        <f>+(L27+L18) *$J$31</f>
        <v>25000000</v>
      </c>
      <c r="M33" s="7">
        <f t="shared" ref="M33:S33" si="9">+(M27+M18) *$J$31</f>
        <v>654166666.66666675</v>
      </c>
      <c r="N33" s="7">
        <f t="shared" si="9"/>
        <v>1320833333.3333335</v>
      </c>
      <c r="O33" s="7">
        <f t="shared" si="9"/>
        <v>1370833333.3333335</v>
      </c>
      <c r="P33" s="7">
        <f t="shared" si="9"/>
        <v>1408333333.3333335</v>
      </c>
      <c r="Q33" s="7">
        <f t="shared" si="9"/>
        <v>1458333333.3333335</v>
      </c>
      <c r="R33" s="7">
        <f t="shared" si="9"/>
        <v>804166666.66666675</v>
      </c>
      <c r="S33" s="7">
        <f t="shared" si="9"/>
        <v>125000000</v>
      </c>
    </row>
    <row r="34" spans="5:19" ht="45" x14ac:dyDescent="0.25">
      <c r="K34" s="29" t="s">
        <v>44</v>
      </c>
      <c r="L34" s="7">
        <f>SUM(L31:L33)</f>
        <v>347933333.33333331</v>
      </c>
      <c r="M34" s="7">
        <f>+L34+SUM(M31:M33)</f>
        <v>1410466666.6666667</v>
      </c>
      <c r="N34" s="7">
        <f t="shared" ref="N34:S34" si="10">+M34+SUM(N31:N33)</f>
        <v>3441466666.666667</v>
      </c>
      <c r="O34" s="7">
        <f t="shared" si="10"/>
        <v>5574266666.666667</v>
      </c>
      <c r="P34" s="7">
        <f t="shared" si="10"/>
        <v>7782666666.666667</v>
      </c>
      <c r="Q34" s="7">
        <f t="shared" si="10"/>
        <v>10092866666.666668</v>
      </c>
      <c r="R34" s="7">
        <f t="shared" si="10"/>
        <v>11149500000.000002</v>
      </c>
      <c r="S34" s="7">
        <f t="shared" si="10"/>
        <v>11527566666.666668</v>
      </c>
    </row>
    <row r="35" spans="5:19" ht="30" x14ac:dyDescent="0.25">
      <c r="K35" s="29" t="s">
        <v>42</v>
      </c>
      <c r="L35" s="7">
        <f>+L34/1000000</f>
        <v>347.93333333333334</v>
      </c>
      <c r="M35" s="7">
        <f t="shared" ref="M35:S35" si="11">+M34/1000000</f>
        <v>1410.4666666666667</v>
      </c>
      <c r="N35" s="7">
        <f t="shared" si="11"/>
        <v>3441.4666666666672</v>
      </c>
      <c r="O35" s="7">
        <f t="shared" si="11"/>
        <v>5574.2666666666673</v>
      </c>
      <c r="P35" s="7">
        <f t="shared" si="11"/>
        <v>7782.666666666667</v>
      </c>
      <c r="Q35" s="7">
        <f t="shared" si="11"/>
        <v>10092.866666666669</v>
      </c>
      <c r="R35" s="7">
        <f t="shared" si="11"/>
        <v>11149.500000000002</v>
      </c>
      <c r="S35" s="7">
        <f t="shared" si="11"/>
        <v>11527.566666666668</v>
      </c>
    </row>
    <row r="36" spans="5:19" ht="60" x14ac:dyDescent="0.25">
      <c r="E36" s="6" t="s">
        <v>55</v>
      </c>
      <c r="K36" s="29" t="s">
        <v>43</v>
      </c>
      <c r="L36" s="7">
        <f>+L34*130/1000000/190</f>
        <v>238.059649122807</v>
      </c>
      <c r="M36" s="7">
        <f t="shared" ref="M36:S36" si="12">+M34*130/1000000/190</f>
        <v>965.05614035087729</v>
      </c>
      <c r="N36" s="7">
        <f t="shared" si="12"/>
        <v>2354.6877192982456</v>
      </c>
      <c r="O36" s="7">
        <f t="shared" si="12"/>
        <v>3813.9719298245618</v>
      </c>
      <c r="P36" s="7">
        <f t="shared" si="12"/>
        <v>5324.9824561403511</v>
      </c>
      <c r="Q36" s="7">
        <f t="shared" si="12"/>
        <v>6905.6456140350883</v>
      </c>
      <c r="R36" s="7">
        <f t="shared" si="12"/>
        <v>7628.6052631578959</v>
      </c>
      <c r="S36" s="7">
        <f t="shared" si="12"/>
        <v>7887.2824561403513</v>
      </c>
    </row>
    <row r="37" spans="5:19" x14ac:dyDescent="0.25">
      <c r="K37" s="30" t="s">
        <v>41</v>
      </c>
      <c r="L37" s="31"/>
      <c r="M37" s="31"/>
      <c r="N37" s="31"/>
      <c r="O37" s="31"/>
    </row>
    <row r="38" spans="5:19" ht="18.75" x14ac:dyDescent="0.3">
      <c r="E38" s="11" t="s">
        <v>45</v>
      </c>
    </row>
    <row r="39" spans="5:19" ht="78.75" x14ac:dyDescent="0.25">
      <c r="E39" s="15" t="s">
        <v>46</v>
      </c>
    </row>
    <row r="40" spans="5:19" x14ac:dyDescent="0.25">
      <c r="E40" s="12" t="s">
        <v>25</v>
      </c>
      <c r="K40" s="1" t="s">
        <v>26</v>
      </c>
      <c r="L40" s="32">
        <v>4</v>
      </c>
      <c r="M40" s="33"/>
      <c r="N40" s="33"/>
      <c r="O40" s="33"/>
      <c r="P40" s="33"/>
      <c r="Q40" s="33"/>
      <c r="R40" s="33"/>
      <c r="S40" s="33"/>
    </row>
    <row r="41" spans="5:19" x14ac:dyDescent="0.25">
      <c r="E41" s="12" t="s">
        <v>47</v>
      </c>
      <c r="L41" s="33"/>
      <c r="M41" s="33"/>
      <c r="N41" s="33"/>
      <c r="O41" s="33"/>
      <c r="P41" s="33"/>
      <c r="Q41" s="33"/>
      <c r="R41" s="33"/>
      <c r="S41" s="33"/>
    </row>
    <row r="42" spans="5:19" x14ac:dyDescent="0.25">
      <c r="E42" s="6" t="s">
        <v>48</v>
      </c>
      <c r="L42" s="33">
        <f>+(L$16+L$25)*$H$31</f>
        <v>453250000</v>
      </c>
      <c r="M42" s="33">
        <f>+L42+(M$16+M$25)*$H$31</f>
        <v>1359750000</v>
      </c>
      <c r="N42" s="33">
        <f t="shared" ref="N42:S42" si="13">+M42+(N$16+N$25)*$H$31</f>
        <v>2279750000</v>
      </c>
      <c r="O42" s="33">
        <f t="shared" si="13"/>
        <v>3213250000</v>
      </c>
      <c r="P42" s="33">
        <f t="shared" si="13"/>
        <v>4151250000</v>
      </c>
      <c r="Q42" s="33">
        <f t="shared" si="13"/>
        <v>5102750000</v>
      </c>
      <c r="R42" s="33">
        <f t="shared" si="13"/>
        <v>6058750000</v>
      </c>
      <c r="S42" s="33">
        <f t="shared" si="13"/>
        <v>7019250000</v>
      </c>
    </row>
    <row r="43" spans="5:19" x14ac:dyDescent="0.25">
      <c r="E43" s="6" t="s">
        <v>49</v>
      </c>
      <c r="L43" s="33">
        <f>+L42/$L$40</f>
        <v>113312500</v>
      </c>
      <c r="M43" s="33">
        <f t="shared" ref="M43:S43" si="14">+M42/$L$40</f>
        <v>339937500</v>
      </c>
      <c r="N43" s="33">
        <f t="shared" si="14"/>
        <v>569937500</v>
      </c>
      <c r="O43" s="33">
        <f t="shared" si="14"/>
        <v>803312500</v>
      </c>
      <c r="P43" s="33">
        <f t="shared" si="14"/>
        <v>1037812500</v>
      </c>
      <c r="Q43" s="33">
        <f t="shared" si="14"/>
        <v>1275687500</v>
      </c>
      <c r="R43" s="33">
        <f t="shared" si="14"/>
        <v>1514687500</v>
      </c>
      <c r="S43" s="33">
        <f t="shared" si="14"/>
        <v>1754812500</v>
      </c>
    </row>
    <row r="44" spans="5:19" x14ac:dyDescent="0.25">
      <c r="E44" s="6" t="s">
        <v>50</v>
      </c>
      <c r="L44" s="33">
        <f>+L43/1000000</f>
        <v>113.3125</v>
      </c>
      <c r="M44" s="33">
        <f t="shared" ref="M44:S44" si="15">+M43/1000000</f>
        <v>339.9375</v>
      </c>
      <c r="N44" s="33">
        <f t="shared" si="15"/>
        <v>569.9375</v>
      </c>
      <c r="O44" s="33">
        <f t="shared" si="15"/>
        <v>803.3125</v>
      </c>
      <c r="P44" s="33">
        <f t="shared" si="15"/>
        <v>1037.8125</v>
      </c>
      <c r="Q44" s="33">
        <f t="shared" si="15"/>
        <v>1275.6875</v>
      </c>
      <c r="R44" s="33">
        <f t="shared" si="15"/>
        <v>1514.6875</v>
      </c>
      <c r="S44" s="33">
        <f t="shared" si="15"/>
        <v>1754.8125</v>
      </c>
    </row>
    <row r="45" spans="5:19" ht="30" x14ac:dyDescent="0.25">
      <c r="E45" s="6" t="s">
        <v>51</v>
      </c>
      <c r="L45" s="33">
        <f>+L42/(12*110)</f>
        <v>343371.2121212121</v>
      </c>
      <c r="M45" s="33">
        <f t="shared" ref="M45:S45" si="16">+M42/(12*110)</f>
        <v>1030113.6363636364</v>
      </c>
      <c r="N45" s="33">
        <f t="shared" si="16"/>
        <v>1727083.3333333333</v>
      </c>
      <c r="O45" s="33">
        <f t="shared" si="16"/>
        <v>2434280.3030303032</v>
      </c>
      <c r="P45" s="33">
        <f t="shared" si="16"/>
        <v>3144886.3636363638</v>
      </c>
      <c r="Q45" s="33">
        <f t="shared" si="16"/>
        <v>3865719.6969696968</v>
      </c>
      <c r="R45" s="33">
        <f t="shared" si="16"/>
        <v>4589962.1212121211</v>
      </c>
      <c r="S45" s="33">
        <f t="shared" si="16"/>
        <v>5317613.6363636367</v>
      </c>
    </row>
    <row r="46" spans="5:19" s="1" customFormat="1" ht="30" x14ac:dyDescent="0.25">
      <c r="E46" s="13" t="s">
        <v>52</v>
      </c>
      <c r="K46" s="13"/>
      <c r="L46" s="33">
        <f>+L45*1.05</f>
        <v>360539.77272727271</v>
      </c>
      <c r="M46" s="33">
        <f t="shared" ref="M46:S46" si="17">+M45*1.05</f>
        <v>1081619.3181818181</v>
      </c>
      <c r="N46" s="33">
        <f t="shared" si="17"/>
        <v>1813437.5</v>
      </c>
      <c r="O46" s="33">
        <f t="shared" si="17"/>
        <v>2555994.3181818184</v>
      </c>
      <c r="P46" s="33">
        <f t="shared" si="17"/>
        <v>3302130.6818181821</v>
      </c>
      <c r="Q46" s="33">
        <f t="shared" si="17"/>
        <v>4059005.6818181816</v>
      </c>
      <c r="R46" s="33">
        <f t="shared" si="17"/>
        <v>4819460.2272727275</v>
      </c>
      <c r="S46" s="33">
        <f t="shared" si="17"/>
        <v>5583494.3181818184</v>
      </c>
    </row>
    <row r="47" spans="5:19" s="1" customFormat="1" x14ac:dyDescent="0.25">
      <c r="E47" s="13" t="s">
        <v>53</v>
      </c>
      <c r="K47" s="13"/>
      <c r="L47" s="34">
        <f>+L46/8</f>
        <v>45067.471590909088</v>
      </c>
      <c r="M47" s="34">
        <f t="shared" ref="M47:S47" si="18">+M46/8</f>
        <v>135202.41477272726</v>
      </c>
      <c r="N47" s="34">
        <f t="shared" si="18"/>
        <v>226679.6875</v>
      </c>
      <c r="O47" s="34">
        <f t="shared" si="18"/>
        <v>319499.28977272729</v>
      </c>
      <c r="P47" s="34">
        <f t="shared" si="18"/>
        <v>412766.33522727276</v>
      </c>
      <c r="Q47" s="34">
        <f t="shared" si="18"/>
        <v>507375.71022727271</v>
      </c>
      <c r="R47" s="34">
        <f t="shared" si="18"/>
        <v>602432.52840909094</v>
      </c>
      <c r="S47" s="34">
        <f t="shared" si="18"/>
        <v>697936.78977272729</v>
      </c>
    </row>
    <row r="48" spans="5:19" x14ac:dyDescent="0.25">
      <c r="E48" s="12" t="s">
        <v>54</v>
      </c>
    </row>
  </sheetData>
  <mergeCells count="2">
    <mergeCell ref="K37:O37"/>
    <mergeCell ref="E4:J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K18"/>
  <sheetViews>
    <sheetView topLeftCell="A7" workbookViewId="0">
      <selection activeCell="C6" sqref="C6:L19"/>
    </sheetView>
  </sheetViews>
  <sheetFormatPr defaultRowHeight="15" x14ac:dyDescent="0.25"/>
  <cols>
    <col min="3" max="3" width="36.85546875" style="6" customWidth="1"/>
    <col min="4" max="4" width="8" customWidth="1"/>
    <col min="5" max="6" width="7.7109375" customWidth="1"/>
    <col min="7" max="7" width="8" customWidth="1"/>
    <col min="8" max="8" width="7.7109375" customWidth="1"/>
    <col min="9" max="10" width="7.5703125" customWidth="1"/>
    <col min="11" max="11" width="7.7109375" customWidth="1"/>
  </cols>
  <sheetData>
    <row r="6" spans="3:11" ht="37.5" x14ac:dyDescent="0.3">
      <c r="C6" s="4" t="s">
        <v>0</v>
      </c>
      <c r="D6" s="9"/>
      <c r="E6" s="9"/>
      <c r="F6" s="9"/>
      <c r="G6" s="9"/>
      <c r="H6" s="9"/>
      <c r="I6" s="9"/>
      <c r="J6" s="9"/>
      <c r="K6" s="9"/>
    </row>
    <row r="7" spans="3:11" ht="30" x14ac:dyDescent="0.25">
      <c r="C7" s="5" t="s">
        <v>13</v>
      </c>
      <c r="D7" s="9"/>
      <c r="E7" s="9"/>
      <c r="F7" s="9"/>
      <c r="G7" s="9"/>
      <c r="H7" s="9"/>
      <c r="I7" s="9"/>
      <c r="J7" s="9"/>
      <c r="K7" s="9"/>
    </row>
    <row r="8" spans="3:11" ht="30" x14ac:dyDescent="0.25">
      <c r="C8" s="5" t="s">
        <v>18</v>
      </c>
      <c r="D8" s="9"/>
      <c r="E8" s="9"/>
      <c r="F8" s="9"/>
      <c r="G8" s="9"/>
      <c r="H8" s="9"/>
      <c r="I8" s="9"/>
      <c r="J8" s="9"/>
      <c r="K8" s="9"/>
    </row>
    <row r="9" spans="3:11" ht="30" x14ac:dyDescent="0.25">
      <c r="C9" s="5" t="s">
        <v>19</v>
      </c>
      <c r="D9" s="9"/>
      <c r="E9" s="9"/>
      <c r="F9" s="9"/>
      <c r="G9" s="9"/>
      <c r="H9" s="9"/>
      <c r="I9" s="9"/>
      <c r="J9" s="9"/>
      <c r="K9" s="9"/>
    </row>
    <row r="10" spans="3:11" ht="30" x14ac:dyDescent="0.25">
      <c r="C10" s="5" t="s">
        <v>22</v>
      </c>
      <c r="D10" s="9"/>
      <c r="E10" s="9"/>
      <c r="F10" s="9"/>
      <c r="G10" s="9"/>
      <c r="H10" s="9"/>
      <c r="I10" s="9"/>
      <c r="J10" s="9"/>
      <c r="K10" s="9"/>
    </row>
    <row r="11" spans="3:11" x14ac:dyDescent="0.25">
      <c r="C11" s="5" t="s">
        <v>20</v>
      </c>
      <c r="D11" s="9"/>
      <c r="E11" s="9"/>
      <c r="F11" s="9"/>
      <c r="G11" s="9"/>
      <c r="H11" s="9"/>
      <c r="I11" s="9"/>
      <c r="J11" s="9"/>
      <c r="K11" s="9"/>
    </row>
    <row r="12" spans="3:11" x14ac:dyDescent="0.25">
      <c r="C12" s="5" t="s">
        <v>14</v>
      </c>
      <c r="D12" s="9"/>
      <c r="E12" s="9"/>
      <c r="F12" s="9"/>
      <c r="G12" s="9"/>
      <c r="H12" s="9"/>
      <c r="I12" s="9"/>
      <c r="J12" s="9"/>
      <c r="K12" s="9"/>
    </row>
    <row r="13" spans="3:11" x14ac:dyDescent="0.25">
      <c r="C13" s="5" t="s">
        <v>15</v>
      </c>
      <c r="D13" s="9"/>
      <c r="E13" s="9"/>
      <c r="F13" s="9"/>
      <c r="G13" s="9"/>
      <c r="H13" s="9"/>
      <c r="I13" s="9"/>
      <c r="J13" s="9"/>
      <c r="K13" s="9"/>
    </row>
    <row r="14" spans="3:11" x14ac:dyDescent="0.25">
      <c r="C14" s="5" t="s">
        <v>16</v>
      </c>
      <c r="D14" s="9"/>
      <c r="E14" s="9"/>
      <c r="F14" s="9"/>
      <c r="G14" s="9"/>
      <c r="H14" s="9"/>
      <c r="I14" s="9"/>
      <c r="J14" s="9"/>
      <c r="K14" s="9"/>
    </row>
    <row r="15" spans="3:11" x14ac:dyDescent="0.25">
      <c r="C15" s="10" t="s">
        <v>21</v>
      </c>
      <c r="D15" s="9"/>
      <c r="E15" s="9"/>
      <c r="F15" s="9"/>
      <c r="G15" s="9"/>
      <c r="H15" s="9"/>
      <c r="I15" s="9"/>
      <c r="J15" s="9"/>
      <c r="K15" s="9"/>
    </row>
    <row r="16" spans="3:11" x14ac:dyDescent="0.25">
      <c r="C16" s="8" t="s">
        <v>23</v>
      </c>
      <c r="D16" s="3">
        <v>2023</v>
      </c>
      <c r="E16" s="3">
        <v>2024</v>
      </c>
      <c r="F16" s="3">
        <v>2025</v>
      </c>
      <c r="G16" s="3">
        <v>2026</v>
      </c>
      <c r="H16" s="3">
        <v>2027</v>
      </c>
      <c r="I16" s="3">
        <v>2028</v>
      </c>
      <c r="J16" s="3">
        <v>2029</v>
      </c>
      <c r="K16" s="3">
        <v>2030</v>
      </c>
    </row>
    <row r="17" spans="3:11" x14ac:dyDescent="0.25">
      <c r="C17" s="8" t="s">
        <v>17</v>
      </c>
      <c r="D17" s="7">
        <v>347.93333333333334</v>
      </c>
      <c r="E17" s="7">
        <v>1410.4666666666667</v>
      </c>
      <c r="F17" s="7">
        <v>3441.4666666666672</v>
      </c>
      <c r="G17" s="7">
        <v>5574.2666666666673</v>
      </c>
      <c r="H17" s="7">
        <v>7782.666666666667</v>
      </c>
      <c r="I17" s="7">
        <v>10092.866666666669</v>
      </c>
      <c r="J17" s="7">
        <v>11149.500000000002</v>
      </c>
      <c r="K17" s="7">
        <v>11527.566666666668</v>
      </c>
    </row>
    <row r="18" spans="3:11" x14ac:dyDescent="0.25">
      <c r="C18" s="8" t="s">
        <v>24</v>
      </c>
      <c r="D18" s="7">
        <v>238.059649122807</v>
      </c>
      <c r="E18" s="7">
        <v>965.05614035087729</v>
      </c>
      <c r="F18" s="7">
        <v>2354.6877192982456</v>
      </c>
      <c r="G18" s="7">
        <v>3813.9719298245618</v>
      </c>
      <c r="H18" s="7">
        <v>5324.9824561403511</v>
      </c>
      <c r="I18" s="7">
        <v>6905.6456140350883</v>
      </c>
      <c r="J18" s="7">
        <v>7628.6052631578959</v>
      </c>
      <c r="K18" s="7">
        <v>7887.2824561403513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2020-03-22T15:06:46Z</dcterms:created>
  <dcterms:modified xsi:type="dcterms:W3CDTF">2020-03-23T07:30:50Z</dcterms:modified>
</cp:coreProperties>
</file>